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19" documentId="8_{FED58C10-7905-4CBE-BB3B-D16473261881}" xr6:coauthVersionLast="47" xr6:coauthVersionMax="47" xr10:uidLastSave="{EA48C0EB-3A9D-451B-8124-DEDAE61A1495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<sst xmlns="http://schemas.openxmlformats.org/spreadsheetml/2006/main" count="645" uniqueCount="347">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</sst>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25774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210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130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2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 t="e">
        <f>VLOOKUP(($D$4),Parameters!$A$4:$R$71,$N$7,FALSE)</f>
        <v>#N/A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IF(G19="-","-",G19*(100%+Parameters!$B$84))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 t="e">
        <f>VLOOKUP($D$4,Parameters!$A$4:$R$71,$N$7+3,FALSE)</f>
        <v>#N/A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 t="e">
        <f>VLOOKUP($D$4,Parameters!$A$4:$R$71,$N$7+6,FALSE)</f>
        <v>#N/A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IF(G21="-","-",G21*(100%+Parameters!$B$84))</f>
        <v>41.2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 t="e">
        <f>VLOOKUP($D$4,Parameters!$A$4:$R$71,$N$7+9,FALSE)</f>
        <v>#N/A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 t="e">
        <f>VLOOKUP($D$4,Parameters!$A$4:$R$71,$N$7+12,FALSE)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(D27*Parameters!$B$85)/60</f>
        <v>6.666666666666667</v>
      </c>
      <c r="F27" s="163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7</v>
      </c>
      <c r="E28" s="162">
        <f>(D28*Parameters!$B$85)/60</f>
        <v>5.833333333333333</v>
      </c>
      <c r="F28" s="163"/>
      <c r="G28" s="124">
        <f>IF($N$6="BOL",Parameters!C80,Parameters!B80)</f>
        <v>9</v>
      </c>
      <c r="H28" s="125">
        <f>E28*G28</f>
        <v>52.5</v>
      </c>
      <c r="I28" s="126"/>
      <c r="J28" s="126">
        <v>200</v>
      </c>
      <c r="K28" s="125">
        <f>J28+I28+H28</f>
        <v>252.5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(D29*Parameters!$B$85)/60</f>
        <v>6.666666666666667</v>
      </c>
      <c r="F29" s="163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225.83333333333334</v>
      </c>
      <c r="I30" s="130">
        <f>SUM(I26:I29)</f>
        <v>0</v>
      </c>
      <c r="J30" s="131">
        <f>SUM(J26:J29)</f>
        <v>800</v>
      </c>
      <c r="K30" s="131">
        <f>SUM(K26:K29)</f>
        <v>1025.8333333333333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/>
      </c>
      <c r="C32" s="113" t="s">
        <v>46</v>
      </c>
      <c r="D32" s="126"/>
      <c r="E32" s="162">
        <f>(D32*Parameters!$B$85)/60</f>
        <v>0</v>
      </c>
      <c r="F32" s="163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/>
      <c r="E33" s="162">
        <f>(D33*Parameters!$B$85)/60</f>
        <v>0</v>
      </c>
      <c r="F33" s="163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/>
      <c r="E34" s="162">
        <f>(D34*Parameters!$B$85)/60</f>
        <v>0</v>
      </c>
      <c r="F34" s="163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225.83333333333334</v>
      </c>
      <c r="J51" s="105">
        <f>J48+J42+J36+J30</f>
        <v>800</v>
      </c>
      <c r="K51" s="134">
        <f>K48+K42+K36+K30</f>
        <v>1025.8333333333333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Logistiek medewerker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25774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2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46203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52.5</v>
      </c>
      <c r="E10" s="28">
        <f>Programmering!J28</f>
        <v>200</v>
      </c>
      <c r="F10" s="28">
        <f>Programmering!K28</f>
        <v>252.5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225.83333333333334</v>
      </c>
      <c r="E12" s="33">
        <f>Programmering!J30</f>
        <v>800</v>
      </c>
      <c r="F12" s="33">
        <f>Programmering!K30</f>
        <v>1025.8333333333333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7" t="str">
        <f>IF(Programmering!G36="","","Totaal ")</f>
        <v/>
      </c>
      <c r="C18" s="168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225.83333333333334</v>
      </c>
      <c r="E32" s="52">
        <f>Programmering!J51</f>
        <v>800</v>
      </c>
      <c r="F32" s="52">
        <f>Programmering!K51</f>
        <v>1025.8333333333333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25774</v>
      </c>
      <c r="C3" t="str">
        <f>RIGHT(Programmering!D6,LEN(Programmering!D6)-8)</f>
        <v>Logistiek medewerker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46203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52.5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225.83333333333334</v>
      </c>
      <c r="W3" s="22">
        <f>Programmering!J30</f>
        <v>800</v>
      </c>
      <c r="X3" s="22">
        <f>Programmering!K30</f>
        <v>1025.8333333333333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2024-06-20T09:11:00Z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